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y Drive\"/>
    </mc:Choice>
  </mc:AlternateContent>
  <xr:revisionPtr revIDLastSave="0" documentId="13_ncr:1_{56C9E01B-3906-4AD0-A750-813B9FBB82B7}" xr6:coauthVersionLast="45" xr6:coauthVersionMax="45" xr10:uidLastSave="{00000000-0000-0000-0000-000000000000}"/>
  <bookViews>
    <workbookView xWindow="14100" yWindow="1665" windowWidth="31065" windowHeight="19125" xr2:uid="{95A9B495-64B0-4D9F-A48D-518D67323675}"/>
  </bookViews>
  <sheets>
    <sheet name="Budget Forecast" sheetId="1" r:id="rId1"/>
    <sheet name="Cluster Assumptions" sheetId="2" r:id="rId2"/>
    <sheet name="Revenue Assumption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R16" i="1"/>
  <c r="R15" i="1"/>
  <c r="R17" i="1" s="1"/>
  <c r="N15" i="1"/>
  <c r="P15" i="1"/>
  <c r="Q15" i="1"/>
  <c r="G10" i="4"/>
  <c r="I10" i="4" s="1"/>
  <c r="G9" i="4"/>
  <c r="G8" i="4"/>
  <c r="I8" i="4" s="1"/>
  <c r="G7" i="4"/>
  <c r="I7" i="4" s="1"/>
  <c r="G6" i="4"/>
  <c r="I6" i="4" s="1"/>
  <c r="G5" i="4"/>
  <c r="I5" i="4" s="1"/>
  <c r="G4" i="4"/>
  <c r="I4" i="4" s="1"/>
  <c r="G3" i="4"/>
  <c r="I3" i="4" s="1"/>
  <c r="G2" i="4"/>
  <c r="I2" i="4" s="1"/>
  <c r="C3" i="4"/>
  <c r="C4" i="4"/>
  <c r="C2" i="4"/>
  <c r="B4" i="4"/>
  <c r="B3" i="4"/>
  <c r="B2" i="4"/>
  <c r="Q12" i="1"/>
  <c r="P12" i="1"/>
  <c r="P16" i="1" s="1"/>
  <c r="N12" i="1"/>
  <c r="N16" i="1" s="1"/>
  <c r="O12" i="1"/>
  <c r="N19" i="1"/>
  <c r="O19" i="1"/>
  <c r="P19" i="1"/>
  <c r="Q19" i="1"/>
  <c r="R19" i="1"/>
  <c r="N14" i="1"/>
  <c r="O14" i="1"/>
  <c r="P14" i="1"/>
  <c r="Q14" i="1"/>
  <c r="R14" i="1"/>
  <c r="O15" i="1"/>
  <c r="N22" i="1"/>
  <c r="O22" i="1"/>
  <c r="P22" i="1"/>
  <c r="Q22" i="1"/>
  <c r="R22" i="1"/>
  <c r="I9" i="4"/>
  <c r="D5" i="4"/>
  <c r="N17" i="1" l="1"/>
  <c r="J39" i="1" s="1"/>
  <c r="P17" i="1"/>
  <c r="P23" i="1" s="1"/>
  <c r="R20" i="1"/>
  <c r="R23" i="1"/>
  <c r="R26" i="1"/>
  <c r="D2" i="4"/>
  <c r="D4" i="4"/>
  <c r="D3" i="4"/>
  <c r="O16" i="1"/>
  <c r="O17" i="1" s="1"/>
  <c r="Q16" i="1"/>
  <c r="Q17" i="1" s="1"/>
  <c r="I11" i="4"/>
  <c r="K22" i="1"/>
  <c r="J22" i="1"/>
  <c r="K18" i="1"/>
  <c r="J18" i="1"/>
  <c r="K14" i="1"/>
  <c r="J14" i="1"/>
  <c r="K12" i="1"/>
  <c r="J12" i="1"/>
  <c r="I22" i="1"/>
  <c r="H22" i="1"/>
  <c r="I18" i="1"/>
  <c r="H18" i="1"/>
  <c r="I14" i="1"/>
  <c r="H14" i="1"/>
  <c r="I12" i="1"/>
  <c r="H12" i="1"/>
  <c r="G22" i="1"/>
  <c r="G18" i="1"/>
  <c r="G14" i="1"/>
  <c r="G12" i="1"/>
  <c r="G29" i="1" s="1"/>
  <c r="F22" i="1"/>
  <c r="F18" i="1"/>
  <c r="F14" i="1"/>
  <c r="F12" i="1"/>
  <c r="E22" i="1"/>
  <c r="E18" i="1"/>
  <c r="E29" i="1" s="1"/>
  <c r="E14" i="1"/>
  <c r="E12" i="1"/>
  <c r="D12" i="1"/>
  <c r="C12" i="1"/>
  <c r="D18" i="1"/>
  <c r="D22" i="1"/>
  <c r="C22" i="1"/>
  <c r="C18" i="1"/>
  <c r="D41" i="1"/>
  <c r="C41" i="1"/>
  <c r="D14" i="1"/>
  <c r="D29" i="1" s="1"/>
  <c r="D30" i="1" s="1"/>
  <c r="D42" i="1" s="1"/>
  <c r="C14" i="1"/>
  <c r="N20" i="1" l="1"/>
  <c r="E39" i="1" s="1"/>
  <c r="P20" i="1"/>
  <c r="P26" i="1"/>
  <c r="N26" i="1"/>
  <c r="K39" i="1" s="1"/>
  <c r="N23" i="1"/>
  <c r="F39" i="1"/>
  <c r="H39" i="1"/>
  <c r="Q20" i="1"/>
  <c r="Q23" i="1"/>
  <c r="Q26" i="1"/>
  <c r="O26" i="1"/>
  <c r="O20" i="1"/>
  <c r="O23" i="1"/>
  <c r="I39" i="1"/>
  <c r="G39" i="1"/>
  <c r="D6" i="4"/>
  <c r="H29" i="1"/>
  <c r="J29" i="1"/>
  <c r="G38" i="1"/>
  <c r="F29" i="1"/>
  <c r="I29" i="1"/>
  <c r="K29" i="1"/>
  <c r="C29" i="1"/>
  <c r="C30" i="1" s="1"/>
  <c r="C42" i="1" s="1"/>
  <c r="C44" i="1" s="1"/>
  <c r="D43" i="1" s="1"/>
  <c r="D44" i="1" s="1"/>
  <c r="E43" i="1" s="1"/>
  <c r="G41" i="1" l="1"/>
  <c r="E38" i="1"/>
  <c r="E41" i="1" s="1"/>
  <c r="F38" i="1"/>
  <c r="K38" i="1"/>
  <c r="I38" i="1"/>
  <c r="J38" i="1"/>
  <c r="H38" i="1"/>
  <c r="G9" i="1"/>
  <c r="G30" i="1" s="1"/>
  <c r="J9" i="1"/>
  <c r="J30" i="1" s="1"/>
  <c r="K9" i="1"/>
  <c r="K30" i="1" s="1"/>
  <c r="I9" i="1"/>
  <c r="I30" i="1" s="1"/>
  <c r="H9" i="1"/>
  <c r="H30" i="1" s="1"/>
  <c r="E9" i="1"/>
  <c r="E30" i="1" s="1"/>
  <c r="F9" i="1"/>
  <c r="F30" i="1" s="1"/>
  <c r="F41" i="1" l="1"/>
  <c r="F42" i="1" s="1"/>
  <c r="I41" i="1"/>
  <c r="I42" i="1" s="1"/>
  <c r="J41" i="1"/>
  <c r="J42" i="1" s="1"/>
  <c r="K41" i="1"/>
  <c r="K42" i="1" s="1"/>
  <c r="H41" i="1"/>
  <c r="H42" i="1" s="1"/>
  <c r="E42" i="1"/>
  <c r="E44" i="1" s="1"/>
  <c r="F43" i="1" s="1"/>
  <c r="G42" i="1"/>
  <c r="F44" i="1" l="1"/>
  <c r="G43" i="1" s="1"/>
  <c r="G44" i="1" s="1"/>
  <c r="H43" i="1" s="1"/>
  <c r="H44" i="1" s="1"/>
  <c r="I43" i="1" s="1"/>
  <c r="I44" i="1" s="1"/>
  <c r="J43" i="1" s="1"/>
  <c r="J44" i="1" s="1"/>
  <c r="K43" i="1" s="1"/>
  <c r="K44" i="1" s="1"/>
</calcChain>
</file>

<file path=xl/sharedStrings.xml><?xml version="1.0" encoding="utf-8"?>
<sst xmlns="http://schemas.openxmlformats.org/spreadsheetml/2006/main" count="128" uniqueCount="121">
  <si>
    <t>Year 1 servers</t>
  </si>
  <si>
    <t>Year 3 servers</t>
  </si>
  <si>
    <t>Average server cost</t>
  </si>
  <si>
    <t>Head node cost</t>
  </si>
  <si>
    <t>Monthly recurring charge</t>
  </si>
  <si>
    <t>Repair/Maintenance rate</t>
  </si>
  <si>
    <t>VTM</t>
  </si>
  <si>
    <t>Initial Install</t>
  </si>
  <si>
    <t>UNH-IOL</t>
  </si>
  <si>
    <t>175/hr</t>
  </si>
  <si>
    <t>120/hr</t>
  </si>
  <si>
    <t>Opus</t>
  </si>
  <si>
    <t>tierpoint</t>
  </si>
  <si>
    <t>150/hr</t>
  </si>
  <si>
    <t>n/a</t>
  </si>
  <si>
    <t>JCI</t>
  </si>
  <si>
    <t>Rack Equipment Charges</t>
  </si>
  <si>
    <t>190/mach</t>
  </si>
  <si>
    <t>75+95/hr</t>
  </si>
  <si>
    <t>95+125/hr</t>
  </si>
  <si>
    <t>Beaker Admin</t>
  </si>
  <si>
    <t>Total year 1 cost</t>
  </si>
  <si>
    <t>Total year 1 server + install cost</t>
  </si>
  <si>
    <t># Maint Hours/month</t>
  </si>
  <si>
    <t># Beaker Admin Hours/month</t>
  </si>
  <si>
    <t>Ken beaker admin charge/month</t>
  </si>
  <si>
    <t>Other</t>
  </si>
  <si>
    <t>Promoter Members</t>
  </si>
  <si>
    <t>FSDP Voters</t>
  </si>
  <si>
    <t>FSDP Users</t>
  </si>
  <si>
    <t>2019 Budget</t>
  </si>
  <si>
    <t>Income</t>
  </si>
  <si>
    <t>Membership Dues</t>
  </si>
  <si>
    <t>Expense</t>
  </si>
  <si>
    <t>OFA Industry Support</t>
  </si>
  <si>
    <t>Maintainer Discretionary Support e.g., travel</t>
  </si>
  <si>
    <t>Marketing</t>
  </si>
  <si>
    <t>PR agency</t>
  </si>
  <si>
    <t>Agency expenses</t>
  </si>
  <si>
    <t>Press releases</t>
  </si>
  <si>
    <t>IT &amp; IS</t>
  </si>
  <si>
    <t>Secure document repository</t>
  </si>
  <si>
    <t>Hosting Fees</t>
  </si>
  <si>
    <t>IT support</t>
  </si>
  <si>
    <t>G&amp;A</t>
  </si>
  <si>
    <t>Bank Service Charges</t>
  </si>
  <si>
    <t>Business Management (LF)</t>
  </si>
  <si>
    <t>Tax Preperation Fees</t>
  </si>
  <si>
    <t>Misc Expenses</t>
  </si>
  <si>
    <t>Legal Expenses</t>
  </si>
  <si>
    <t>Travel</t>
  </si>
  <si>
    <t>Total Expense</t>
  </si>
  <si>
    <t>Operating income</t>
  </si>
  <si>
    <t>Other Income and Expense</t>
  </si>
  <si>
    <t>Contract Services; Director</t>
  </si>
  <si>
    <t>Workshop Income</t>
  </si>
  <si>
    <t>Workshop Expenses</t>
  </si>
  <si>
    <t>Plugfest Participation Fees - Income</t>
  </si>
  <si>
    <t>Plugfest Payments to UNH-IOL</t>
  </si>
  <si>
    <t>Software Testing Expense</t>
  </si>
  <si>
    <t>Other non operating misc</t>
  </si>
  <si>
    <t>Net Other Income and (Expense)</t>
  </si>
  <si>
    <t>Net Income and (Expense)</t>
  </si>
  <si>
    <t>Carryforward Surplus</t>
  </si>
  <si>
    <t>Accumulated Surplus</t>
  </si>
  <si>
    <t>2020 Budget</t>
  </si>
  <si>
    <t>2021 Budget</t>
  </si>
  <si>
    <t>2022 Budget</t>
  </si>
  <si>
    <t>2023 Budget</t>
  </si>
  <si>
    <t>Logo Program Revenue</t>
  </si>
  <si>
    <t>Distro Logos</t>
  </si>
  <si>
    <t>iWARP Logos</t>
  </si>
  <si>
    <t>RoCE Logos</t>
  </si>
  <si>
    <t>IB Logos</t>
  </si>
  <si>
    <t>OPA Logos</t>
  </si>
  <si>
    <t>Unlimited IB Logos</t>
  </si>
  <si>
    <t>Unlimited RoCE Logos</t>
  </si>
  <si>
    <t>Unlimited iWARP Logos</t>
  </si>
  <si>
    <t>Unlimited Distro Logos</t>
  </si>
  <si>
    <t>2024 Budget</t>
  </si>
  <si>
    <t>2025 Budget</t>
  </si>
  <si>
    <t>2026 Budget</t>
  </si>
  <si>
    <t>2027 Budget</t>
  </si>
  <si>
    <t>Assumptions about the cluster</t>
  </si>
  <si>
    <t>Start with 20 servers in year 1</t>
  </si>
  <si>
    <t>Add 10 more servers in all odd years (3, 5, etc.)</t>
  </si>
  <si>
    <t>Replace the head node every 7 years</t>
  </si>
  <si>
    <t>Retire 10 servers when we add 10 servers starting in year 5</t>
  </si>
  <si>
    <t>Cluster maintenance is generally very low except when doing upgrades</t>
  </si>
  <si>
    <t>Beaker maintenance will depend highly on the frequency with which we have to add new OSes to the installable OS list</t>
  </si>
  <si>
    <t>Ken has offered an initial quote of $1000 non-recurring charge to setup Beaker and $800/month to maintain it</t>
  </si>
  <si>
    <t>Membership Revenue</t>
  </si>
  <si>
    <t>Low</t>
  </si>
  <si>
    <t>Medium</t>
  </si>
  <si>
    <t>High</t>
  </si>
  <si>
    <t>Vendor</t>
  </si>
  <si>
    <t>Maintenance Burden</t>
  </si>
  <si>
    <t>UNH-IOL Beaker Charge</t>
  </si>
  <si>
    <t>Med-High</t>
  </si>
  <si>
    <t>Number of OFA Members</t>
  </si>
  <si>
    <t>Cost of Membership</t>
  </si>
  <si>
    <t>Slight Increase</t>
  </si>
  <si>
    <t>Same</t>
  </si>
  <si>
    <t>Slight Decrease</t>
  </si>
  <si>
    <t>Moderate Increase</t>
  </si>
  <si>
    <t>None</t>
  </si>
  <si>
    <t>Slight</t>
  </si>
  <si>
    <t>Modest</t>
  </si>
  <si>
    <t>Significant</t>
  </si>
  <si>
    <t>Table of projected logo program participation</t>
  </si>
  <si>
    <t>Table of projected membership and membership dues</t>
  </si>
  <si>
    <t>Total logo revenue (Feeds into budget projections)</t>
  </si>
  <si>
    <t>Total Membership Revenue (Feeds into budget projections)</t>
  </si>
  <si>
    <t>Annual Recurring Cost</t>
  </si>
  <si>
    <t>Annual Maintenance Cost</t>
  </si>
  <si>
    <t>Annual Beaker Admin Cost</t>
  </si>
  <si>
    <t>Total year 3 and 5 server + install cost</t>
  </si>
  <si>
    <t>Total year 3 and 5 cost</t>
  </si>
  <si>
    <t>Total Cost Even Years</t>
  </si>
  <si>
    <t>Total year 7 server + install</t>
  </si>
  <si>
    <t>Total year 7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</si>
</sst>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25">
    <xf numFmtId="0" fontId="0" fillId="0" borderId="0" xfId="0"/>
    <xf numFmtId="6" fontId="0" fillId="0" borderId="0" xfId="0" applyNumberFormat="1"/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4" fillId="3" borderId="0" xfId="3"/>
    <xf numFmtId="0" fontId="0" fillId="4" borderId="2" xfId="4" applyFont="1" applyFill="1" applyBorder="1"/>
    <xf numFmtId="0" fontId="0" fillId="4" borderId="5" xfId="4" applyFont="1" applyFill="1" applyBorder="1"/>
    <xf numFmtId="0" fontId="3" fillId="5" borderId="9" xfId="0" applyFont="1" applyFill="1" applyBorder="1"/>
    <xf numFmtId="0" fontId="0" fillId="4" borderId="10" xfId="4" applyFont="1" applyFill="1" applyBorder="1"/>
    <xf numFmtId="0" fontId="0" fillId="4" borderId="9" xfId="4" applyFont="1" applyFill="1" applyBorder="1"/>
    <xf numFmtId="0" fontId="0" fillId="4" borderId="8" xfId="4" applyFont="1" applyFill="1" applyBorder="1"/>
    <xf numFmtId="0" fontId="2" fillId="2" borderId="1" xfId="2"/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</cellXfs>
  <cellStyles count="5">
    <cellStyle name="20% - Accent1" xfId="4" builtinId="30"/>
    <cellStyle name="Accent1" xfId="3" builtinId="29"/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D79E-8029-4C38-A09F-18F1C6F3C3ED}">
  <sheetPr codeName="Sheet1"/>
  <dimension ref="A1:R45"/>
  <sheetViews>
    <sheetView tabSelected="1" workbookViewId="0">
      <selection activeCell="B4" sqref="B4"/>
    </sheetView>
  </sheetViews>
  <sheetFormatPr defaultRowHeight="15" x14ac:dyDescent="0.25"/>
  <cols>
    <col min="1" max="1" width="25.42578125" customWidth="1"/>
    <col min="2" max="2" width="17.85546875" bestFit="1" customWidth="1"/>
    <col min="3" max="11" width="11.7109375" bestFit="1" customWidth="1"/>
    <col min="12" max="12" width="6.7109375" customWidth="1"/>
    <col min="13" max="13" width="29" bestFit="1" customWidth="1"/>
    <col min="14" max="14" width="7" bestFit="1" customWidth="1"/>
    <col min="15" max="15" width="8.7109375" bestFit="1" customWidth="1"/>
    <col min="16" max="16" width="7" bestFit="1" customWidth="1"/>
    <col min="17" max="17" width="8.85546875" bestFit="1" customWidth="1"/>
    <col min="18" max="18" width="9.7109375" bestFit="1" customWidth="1"/>
  </cols>
  <sheetData>
    <row r="1" spans="1:18" x14ac:dyDescent="0.25">
      <c r="A1" s="14" t="s">
        <v>95</v>
      </c>
      <c r="B1" s="21" t="s">
        <v>11</v>
      </c>
    </row>
    <row r="2" spans="1:18" x14ac:dyDescent="0.25">
      <c r="A2" s="14" t="s">
        <v>96</v>
      </c>
      <c r="B2" s="21" t="s">
        <v>93</v>
      </c>
    </row>
    <row r="3" spans="1:18" x14ac:dyDescent="0.25">
      <c r="A3" s="14" t="s">
        <v>99</v>
      </c>
      <c r="B3" s="21" t="s">
        <v>101</v>
      </c>
    </row>
    <row r="4" spans="1:18" x14ac:dyDescent="0.25">
      <c r="A4" s="14" t="s">
        <v>100</v>
      </c>
      <c r="B4" s="21" t="s">
        <v>101</v>
      </c>
    </row>
    <row r="5" spans="1:18" x14ac:dyDescent="0.25">
      <c r="A5" s="14" t="s">
        <v>69</v>
      </c>
      <c r="B5" s="21" t="s">
        <v>106</v>
      </c>
    </row>
    <row r="7" spans="1:18" x14ac:dyDescent="0.25">
      <c r="C7" s="14" t="s">
        <v>30</v>
      </c>
      <c r="D7" s="14" t="s">
        <v>65</v>
      </c>
      <c r="E7" s="14" t="s">
        <v>66</v>
      </c>
      <c r="F7" s="14" t="s">
        <v>67</v>
      </c>
      <c r="G7" s="14" t="s">
        <v>68</v>
      </c>
      <c r="H7" s="14" t="s">
        <v>79</v>
      </c>
      <c r="I7" s="14" t="s">
        <v>80</v>
      </c>
      <c r="J7" s="14" t="s">
        <v>81</v>
      </c>
      <c r="K7" s="14" t="s">
        <v>82</v>
      </c>
      <c r="N7" s="5" t="s">
        <v>6</v>
      </c>
      <c r="O7" s="6" t="s">
        <v>8</v>
      </c>
      <c r="P7" s="6" t="s">
        <v>11</v>
      </c>
      <c r="Q7" s="6" t="s">
        <v>12</v>
      </c>
      <c r="R7" s="7" t="s">
        <v>15</v>
      </c>
    </row>
    <row r="8" spans="1:18" x14ac:dyDescent="0.25">
      <c r="A8" t="s">
        <v>31</v>
      </c>
      <c r="M8" t="s">
        <v>16</v>
      </c>
      <c r="N8" s="8">
        <v>2700</v>
      </c>
      <c r="O8" s="9">
        <v>15000</v>
      </c>
      <c r="P8" s="9">
        <v>3000</v>
      </c>
      <c r="Q8" s="9">
        <v>295</v>
      </c>
      <c r="R8" s="10">
        <v>0</v>
      </c>
    </row>
    <row r="9" spans="1:18" x14ac:dyDescent="0.25">
      <c r="A9" t="s">
        <v>32</v>
      </c>
      <c r="C9" s="1">
        <v>157500</v>
      </c>
      <c r="D9" s="3">
        <v>135500</v>
      </c>
      <c r="E9" s="4">
        <f>'Revenue Assumptions'!$D$6</f>
        <v>196500</v>
      </c>
      <c r="F9" s="4">
        <f>'Revenue Assumptions'!$D$6</f>
        <v>196500</v>
      </c>
      <c r="G9" s="4">
        <f>'Revenue Assumptions'!$D$6</f>
        <v>196500</v>
      </c>
      <c r="H9" s="4">
        <f>'Revenue Assumptions'!$D$6</f>
        <v>196500</v>
      </c>
      <c r="I9" s="4">
        <f>'Revenue Assumptions'!$D$6</f>
        <v>196500</v>
      </c>
      <c r="J9" s="4">
        <f>'Revenue Assumptions'!$D$6</f>
        <v>196500</v>
      </c>
      <c r="K9" s="4">
        <f>'Revenue Assumptions'!$D$6</f>
        <v>196500</v>
      </c>
      <c r="M9" t="s">
        <v>7</v>
      </c>
      <c r="N9" s="8">
        <v>4500</v>
      </c>
      <c r="O9" s="9">
        <v>0</v>
      </c>
      <c r="P9" s="9">
        <v>5125</v>
      </c>
      <c r="Q9" s="9" t="s">
        <v>14</v>
      </c>
      <c r="R9" s="10" t="s">
        <v>17</v>
      </c>
    </row>
    <row r="10" spans="1:18" x14ac:dyDescent="0.25">
      <c r="M10" t="s">
        <v>4</v>
      </c>
      <c r="N10" s="8">
        <v>2700</v>
      </c>
      <c r="O10" s="9">
        <v>2500</v>
      </c>
      <c r="P10" s="9">
        <v>1134</v>
      </c>
      <c r="Q10" s="9">
        <v>1400</v>
      </c>
      <c r="R10" s="10">
        <v>1995</v>
      </c>
    </row>
    <row r="11" spans="1:18" x14ac:dyDescent="0.25">
      <c r="A11" t="s">
        <v>33</v>
      </c>
      <c r="M11" t="s">
        <v>5</v>
      </c>
      <c r="N11" s="8" t="s">
        <v>10</v>
      </c>
      <c r="O11" s="9">
        <v>250</v>
      </c>
      <c r="P11" s="9" t="s">
        <v>9</v>
      </c>
      <c r="Q11" s="9" t="s">
        <v>13</v>
      </c>
      <c r="R11" s="10" t="s">
        <v>18</v>
      </c>
    </row>
    <row r="12" spans="1:18" x14ac:dyDescent="0.25">
      <c r="A12" t="s">
        <v>34</v>
      </c>
      <c r="C12" s="1">
        <f t="shared" ref="C12:K12" si="0">SUM(C13)</f>
        <v>3000</v>
      </c>
      <c r="D12" s="1">
        <f t="shared" si="0"/>
        <v>3000</v>
      </c>
      <c r="E12" s="1">
        <f t="shared" si="0"/>
        <v>3000</v>
      </c>
      <c r="F12" s="1">
        <f t="shared" si="0"/>
        <v>3000</v>
      </c>
      <c r="G12" s="1">
        <f t="shared" si="0"/>
        <v>3000</v>
      </c>
      <c r="H12" s="1">
        <f t="shared" si="0"/>
        <v>3000</v>
      </c>
      <c r="I12" s="1">
        <f t="shared" si="0"/>
        <v>3000</v>
      </c>
      <c r="J12" s="1">
        <f t="shared" si="0"/>
        <v>3000</v>
      </c>
      <c r="K12" s="1">
        <f t="shared" si="0"/>
        <v>3000</v>
      </c>
      <c r="M12" t="s">
        <v>20</v>
      </c>
      <c r="N12" s="9">
        <f>HLOOKUP($B$2,'Cluster Assumptions'!$B$15:$E$19,4,FALSE)</f>
        <v>800</v>
      </c>
      <c r="O12" s="9">
        <f>HLOOKUP($B$2,'Cluster Assumptions'!$B$15:$E$19,5,FALSE)</f>
        <v>750</v>
      </c>
      <c r="P12" s="9">
        <f>HLOOKUP($B$2,'Cluster Assumptions'!$B$15:$E$19,4,FALSE)</f>
        <v>800</v>
      </c>
      <c r="Q12" s="9">
        <f>HLOOKUP($B$2,'Cluster Assumptions'!$B$15:$E$19,4,FALSE)</f>
        <v>800</v>
      </c>
      <c r="R12" s="10" t="s">
        <v>19</v>
      </c>
    </row>
    <row r="13" spans="1:18" x14ac:dyDescent="0.25">
      <c r="A13" s="2" t="s">
        <v>35</v>
      </c>
      <c r="B13" s="2"/>
      <c r="C13" s="1">
        <v>3000</v>
      </c>
      <c r="D13" s="1">
        <v>3000</v>
      </c>
      <c r="E13" s="1">
        <v>3000</v>
      </c>
      <c r="F13" s="1">
        <v>3000</v>
      </c>
      <c r="G13" s="1">
        <v>3000</v>
      </c>
      <c r="H13" s="1">
        <v>3000</v>
      </c>
      <c r="I13" s="1">
        <v>3000</v>
      </c>
      <c r="J13" s="1">
        <v>3000</v>
      </c>
      <c r="K13" s="1">
        <v>3000</v>
      </c>
      <c r="N13" s="8"/>
      <c r="O13" s="9"/>
      <c r="P13" s="9"/>
      <c r="Q13" s="9"/>
      <c r="R13" s="10"/>
    </row>
    <row r="14" spans="1:18" x14ac:dyDescent="0.25">
      <c r="A14" t="s">
        <v>36</v>
      </c>
      <c r="C14" s="1">
        <f t="shared" ref="C14:K14" si="1">SUM(C15:C17)</f>
        <v>75431</v>
      </c>
      <c r="D14" s="1">
        <f t="shared" si="1"/>
        <v>75431</v>
      </c>
      <c r="E14" s="1">
        <f t="shared" si="1"/>
        <v>75431</v>
      </c>
      <c r="F14" s="1">
        <f t="shared" si="1"/>
        <v>75431</v>
      </c>
      <c r="G14" s="1">
        <f t="shared" si="1"/>
        <v>75431</v>
      </c>
      <c r="H14" s="1">
        <f t="shared" si="1"/>
        <v>75431</v>
      </c>
      <c r="I14" s="1">
        <f t="shared" si="1"/>
        <v>75431</v>
      </c>
      <c r="J14" s="1">
        <f t="shared" si="1"/>
        <v>75431</v>
      </c>
      <c r="K14" s="1">
        <f t="shared" si="1"/>
        <v>75431</v>
      </c>
      <c r="M14" t="s">
        <v>113</v>
      </c>
      <c r="N14" s="8">
        <f>N$10*12</f>
        <v>32400</v>
      </c>
      <c r="O14" s="9">
        <f>O$10*12</f>
        <v>30000</v>
      </c>
      <c r="P14" s="9">
        <f>P$10*12</f>
        <v>13608</v>
      </c>
      <c r="Q14" s="9">
        <f>Q$10*12</f>
        <v>16800</v>
      </c>
      <c r="R14" s="10">
        <f>R$10*12</f>
        <v>23940</v>
      </c>
    </row>
    <row r="15" spans="1:18" x14ac:dyDescent="0.25">
      <c r="A15" s="2" t="s">
        <v>37</v>
      </c>
      <c r="B15" s="2"/>
      <c r="C15" s="1">
        <v>69000</v>
      </c>
      <c r="D15" s="1">
        <v>69000</v>
      </c>
      <c r="E15" s="1">
        <v>69000</v>
      </c>
      <c r="F15" s="1">
        <v>69000</v>
      </c>
      <c r="G15" s="1">
        <v>69000</v>
      </c>
      <c r="H15" s="1">
        <v>69000</v>
      </c>
      <c r="I15" s="1">
        <v>69000</v>
      </c>
      <c r="J15" s="1">
        <v>69000</v>
      </c>
      <c r="K15" s="1">
        <v>69000</v>
      </c>
      <c r="M15" t="s">
        <v>114</v>
      </c>
      <c r="N15" s="9">
        <f>HLOOKUP($B$2,'Cluster Assumptions'!$B$15:$E$19,2,FALSE)*120*12</f>
        <v>5760</v>
      </c>
      <c r="O15" s="9">
        <f>O$11*12</f>
        <v>3000</v>
      </c>
      <c r="P15" s="9">
        <f>HLOOKUP($B$2,'Cluster Assumptions'!$B$15:$E$19,2,FALSE)*175*12</f>
        <v>8400</v>
      </c>
      <c r="Q15" s="9">
        <f>HLOOKUP($B$2,'Cluster Assumptions'!$B$15:$E$19,2,FALSE)*150*12</f>
        <v>7200</v>
      </c>
      <c r="R15" s="10">
        <f>(75+(MAX(0,HLOOKUP('Budget Forecast'!$B$2,'Cluster Assumptions'!$B$15:$E$19,2,FALSE)-1)*95))*12</f>
        <v>4320</v>
      </c>
    </row>
    <row r="16" spans="1:18" x14ac:dyDescent="0.25">
      <c r="A16" s="2" t="s">
        <v>38</v>
      </c>
      <c r="B16" s="2"/>
      <c r="C16" s="1">
        <v>4000</v>
      </c>
      <c r="D16" s="1">
        <v>4000</v>
      </c>
      <c r="E16" s="1">
        <v>4000</v>
      </c>
      <c r="F16" s="1">
        <v>4000</v>
      </c>
      <c r="G16" s="1">
        <v>4000</v>
      </c>
      <c r="H16" s="1">
        <v>4000</v>
      </c>
      <c r="I16" s="1">
        <v>4000</v>
      </c>
      <c r="J16" s="1">
        <v>4000</v>
      </c>
      <c r="K16" s="1">
        <v>4000</v>
      </c>
      <c r="M16" t="s">
        <v>115</v>
      </c>
      <c r="N16" s="9">
        <f>N$12*12</f>
        <v>9600</v>
      </c>
      <c r="O16" s="9">
        <f>O$12*12</f>
        <v>9000</v>
      </c>
      <c r="P16" s="9">
        <f>P$12*12</f>
        <v>9600</v>
      </c>
      <c r="Q16" s="9">
        <f>Q$12*12</f>
        <v>9600</v>
      </c>
      <c r="R16" s="10">
        <f>(95+(MAX(0,HLOOKUP('Budget Forecast'!$B$2,'Cluster Assumptions'!$B$15:$E$19,3,FALSE)-1)*125))*12</f>
        <v>14640</v>
      </c>
    </row>
    <row r="17" spans="1:18" x14ac:dyDescent="0.25">
      <c r="A17" s="2" t="s">
        <v>39</v>
      </c>
      <c r="B17" s="2"/>
      <c r="C17" s="1">
        <v>2431</v>
      </c>
      <c r="D17" s="1">
        <v>2431</v>
      </c>
      <c r="E17" s="1">
        <v>2431</v>
      </c>
      <c r="F17" s="1">
        <v>2431</v>
      </c>
      <c r="G17" s="1">
        <v>2431</v>
      </c>
      <c r="H17" s="1">
        <v>2431</v>
      </c>
      <c r="I17" s="1">
        <v>2431</v>
      </c>
      <c r="J17" s="1">
        <v>2431</v>
      </c>
      <c r="K17" s="1">
        <v>2431</v>
      </c>
      <c r="M17" t="s">
        <v>118</v>
      </c>
      <c r="N17">
        <f>SUM(N14:N16)</f>
        <v>47760</v>
      </c>
      <c r="O17">
        <f>SUM(O14:O16)</f>
        <v>42000</v>
      </c>
      <c r="P17">
        <f>SUM(P14:P16)</f>
        <v>31608</v>
      </c>
      <c r="Q17">
        <f>SUM(Q14:Q16)</f>
        <v>33600</v>
      </c>
      <c r="R17">
        <f>SUM(R14:R16)</f>
        <v>42900</v>
      </c>
    </row>
    <row r="18" spans="1:18" x14ac:dyDescent="0.25">
      <c r="A18" t="s">
        <v>40</v>
      </c>
      <c r="C18" s="1">
        <f t="shared" ref="C18:K18" si="2">SUM(C19:C21)</f>
        <v>14787</v>
      </c>
      <c r="D18" s="1">
        <f t="shared" si="2"/>
        <v>14787</v>
      </c>
      <c r="E18" s="1">
        <f t="shared" si="2"/>
        <v>14787</v>
      </c>
      <c r="F18" s="1">
        <f t="shared" si="2"/>
        <v>14787</v>
      </c>
      <c r="G18" s="1">
        <f t="shared" si="2"/>
        <v>14787</v>
      </c>
      <c r="H18" s="1">
        <f t="shared" si="2"/>
        <v>14787</v>
      </c>
      <c r="I18" s="1">
        <f t="shared" si="2"/>
        <v>14787</v>
      </c>
      <c r="J18" s="1">
        <f t="shared" si="2"/>
        <v>14787</v>
      </c>
      <c r="K18" s="1">
        <f t="shared" si="2"/>
        <v>14787</v>
      </c>
    </row>
    <row r="19" spans="1:18" x14ac:dyDescent="0.25">
      <c r="A19" s="2" t="s">
        <v>41</v>
      </c>
      <c r="B19" s="2"/>
      <c r="C19" s="1">
        <v>3000</v>
      </c>
      <c r="D19" s="1">
        <v>3000</v>
      </c>
      <c r="E19" s="1">
        <v>3000</v>
      </c>
      <c r="F19" s="1">
        <v>3000</v>
      </c>
      <c r="G19" s="1">
        <v>3000</v>
      </c>
      <c r="H19" s="1">
        <v>3000</v>
      </c>
      <c r="I19" s="1">
        <v>3000</v>
      </c>
      <c r="J19" s="1">
        <v>3000</v>
      </c>
      <c r="K19" s="1">
        <v>3000</v>
      </c>
      <c r="M19" t="s">
        <v>22</v>
      </c>
      <c r="N19" s="8">
        <f>'Cluster Assumptions'!$B$6*'Cluster Assumptions'!$B$8+'Cluster Assumptions'!$B$9+N8+N9</f>
        <v>67200</v>
      </c>
      <c r="O19" s="9">
        <f>'Cluster Assumptions'!$B$6*'Cluster Assumptions'!$B$8+'Cluster Assumptions'!$B$9+O8+O9</f>
        <v>75000</v>
      </c>
      <c r="P19" s="9">
        <f>'Cluster Assumptions'!$B$6*'Cluster Assumptions'!$B$8+'Cluster Assumptions'!$B$9+P8+P9</f>
        <v>68125</v>
      </c>
      <c r="Q19" s="9">
        <f>'Cluster Assumptions'!$B$6*'Cluster Assumptions'!$B$8+'Cluster Assumptions'!$B$9+Q8</f>
        <v>60295</v>
      </c>
      <c r="R19" s="10">
        <f>'Cluster Assumptions'!$B$6*'Cluster Assumptions'!$B$8+'Cluster Assumptions'!$B$9+R8+(190*'Cluster Assumptions'!$B$6)</f>
        <v>63800</v>
      </c>
    </row>
    <row r="20" spans="1:18" x14ac:dyDescent="0.25">
      <c r="A20" s="2" t="s">
        <v>42</v>
      </c>
      <c r="B20" s="2"/>
      <c r="C20" s="1">
        <v>4587</v>
      </c>
      <c r="D20" s="1">
        <v>4587</v>
      </c>
      <c r="E20" s="1">
        <v>4587</v>
      </c>
      <c r="F20" s="1">
        <v>4587</v>
      </c>
      <c r="G20" s="1">
        <v>4587</v>
      </c>
      <c r="H20" s="1">
        <v>4587</v>
      </c>
      <c r="I20" s="1">
        <v>4587</v>
      </c>
      <c r="J20" s="1">
        <v>4587</v>
      </c>
      <c r="K20" s="1">
        <v>4587</v>
      </c>
      <c r="M20" t="s">
        <v>21</v>
      </c>
      <c r="N20" s="8">
        <f>N17+N19</f>
        <v>114960</v>
      </c>
      <c r="O20" s="8">
        <f>O17+O19</f>
        <v>117000</v>
      </c>
      <c r="P20" s="8">
        <f>P17+P19</f>
        <v>99733</v>
      </c>
      <c r="Q20" s="8">
        <f>Q17+Q19</f>
        <v>93895</v>
      </c>
      <c r="R20" s="8">
        <f>R17+R19</f>
        <v>106700</v>
      </c>
    </row>
    <row r="21" spans="1:18" x14ac:dyDescent="0.25">
      <c r="A21" s="2" t="s">
        <v>43</v>
      </c>
      <c r="B21" s="2"/>
      <c r="C21" s="1">
        <v>7200</v>
      </c>
      <c r="D21" s="1">
        <v>7200</v>
      </c>
      <c r="E21" s="1">
        <v>7200</v>
      </c>
      <c r="F21" s="1">
        <v>7200</v>
      </c>
      <c r="G21" s="1">
        <v>7200</v>
      </c>
      <c r="H21" s="1">
        <v>7200</v>
      </c>
      <c r="I21" s="1">
        <v>7200</v>
      </c>
      <c r="J21" s="1">
        <v>7200</v>
      </c>
      <c r="K21" s="1">
        <v>7200</v>
      </c>
    </row>
    <row r="22" spans="1:18" x14ac:dyDescent="0.25">
      <c r="A22" t="s">
        <v>44</v>
      </c>
      <c r="C22" s="1">
        <f t="shared" ref="C22:K22" si="3">SUM(C23:C28)</f>
        <v>50275</v>
      </c>
      <c r="D22" s="1">
        <f t="shared" si="3"/>
        <v>42225</v>
      </c>
      <c r="E22" s="1">
        <f t="shared" si="3"/>
        <v>35225</v>
      </c>
      <c r="F22" s="1">
        <f t="shared" si="3"/>
        <v>35225</v>
      </c>
      <c r="G22" s="1">
        <f t="shared" si="3"/>
        <v>35225</v>
      </c>
      <c r="H22" s="1">
        <f t="shared" si="3"/>
        <v>35225</v>
      </c>
      <c r="I22" s="1">
        <f t="shared" si="3"/>
        <v>35225</v>
      </c>
      <c r="J22" s="1">
        <f t="shared" si="3"/>
        <v>35225</v>
      </c>
      <c r="K22" s="1">
        <f t="shared" si="3"/>
        <v>35225</v>
      </c>
      <c r="M22" t="s">
        <v>116</v>
      </c>
      <c r="N22" s="8">
        <f>'Cluster Assumptions'!$B$7*('Cluster Assumptions'!$B$8+2*120)</f>
        <v>27400</v>
      </c>
      <c r="O22" s="9">
        <f>'Cluster Assumptions'!$B$7*('Cluster Assumptions'!$B$8)+1500</f>
        <v>26500</v>
      </c>
      <c r="P22" s="9">
        <f>'Cluster Assumptions'!$B$7*('Cluster Assumptions'!$B$8+2*175)</f>
        <v>28500</v>
      </c>
      <c r="Q22" s="9">
        <f>'Cluster Assumptions'!$B$7*('Cluster Assumptions'!$B$8+2*150)</f>
        <v>28000</v>
      </c>
      <c r="R22" s="10">
        <f>'Cluster Assumptions'!$B$7*('Cluster Assumptions'!$B$8+190)</f>
        <v>26900</v>
      </c>
    </row>
    <row r="23" spans="1:18" x14ac:dyDescent="0.25">
      <c r="A23" s="2" t="s">
        <v>45</v>
      </c>
      <c r="B23" s="2"/>
      <c r="C23" s="1">
        <v>6900</v>
      </c>
      <c r="D23" s="1">
        <v>6900</v>
      </c>
      <c r="E23" s="1">
        <v>6900</v>
      </c>
      <c r="F23" s="1">
        <v>6900</v>
      </c>
      <c r="G23" s="1">
        <v>6900</v>
      </c>
      <c r="H23" s="1">
        <v>6900</v>
      </c>
      <c r="I23" s="1">
        <v>6900</v>
      </c>
      <c r="J23" s="1">
        <v>6900</v>
      </c>
      <c r="K23" s="1">
        <v>6900</v>
      </c>
      <c r="M23" t="s">
        <v>117</v>
      </c>
      <c r="N23">
        <f>N17+N22</f>
        <v>75160</v>
      </c>
      <c r="O23">
        <f>O17+O22</f>
        <v>68500</v>
      </c>
      <c r="P23">
        <f>P17+P22</f>
        <v>60108</v>
      </c>
      <c r="Q23">
        <f>Q17+Q22</f>
        <v>61600</v>
      </c>
      <c r="R23">
        <f>R17+R22</f>
        <v>69800</v>
      </c>
    </row>
    <row r="24" spans="1:18" x14ac:dyDescent="0.25">
      <c r="A24" s="2" t="s">
        <v>46</v>
      </c>
      <c r="B24" s="2"/>
      <c r="C24" s="1">
        <v>25375</v>
      </c>
      <c r="D24" s="1">
        <v>20325</v>
      </c>
      <c r="E24" s="1">
        <v>20325</v>
      </c>
      <c r="F24" s="1">
        <v>20325</v>
      </c>
      <c r="G24" s="1">
        <v>20325</v>
      </c>
      <c r="H24" s="1">
        <v>20325</v>
      </c>
      <c r="I24" s="1">
        <v>20325</v>
      </c>
      <c r="J24" s="1">
        <v>20325</v>
      </c>
      <c r="K24" s="1">
        <v>20325</v>
      </c>
    </row>
    <row r="25" spans="1:18" x14ac:dyDescent="0.25">
      <c r="A25" s="2" t="s">
        <v>47</v>
      </c>
      <c r="B25" s="2"/>
      <c r="C25" s="1">
        <v>2300</v>
      </c>
      <c r="D25" s="1">
        <v>2300</v>
      </c>
      <c r="E25" s="1">
        <v>2300</v>
      </c>
      <c r="F25" s="1">
        <v>2300</v>
      </c>
      <c r="G25" s="1">
        <v>2300</v>
      </c>
      <c r="H25" s="1">
        <v>2300</v>
      </c>
      <c r="I25" s="1">
        <v>2300</v>
      </c>
      <c r="J25" s="1">
        <v>2300</v>
      </c>
      <c r="K25" s="1">
        <v>2300</v>
      </c>
      <c r="M25" t="s">
        <v>119</v>
      </c>
      <c r="N25" s="8">
        <f>'Cluster Assumptions'!$B$7*('Cluster Assumptions'!$B$8+2*120)+'Cluster Assumptions'!$B$9</f>
        <v>37400</v>
      </c>
      <c r="O25" s="9">
        <f>'Cluster Assumptions'!$B$7*('Cluster Assumptions'!$B$8)+'Cluster Assumptions'!$B$9+1500</f>
        <v>36500</v>
      </c>
      <c r="P25" s="9">
        <f>'Cluster Assumptions'!$B$7*('Cluster Assumptions'!$B$8+2*175)+'Cluster Assumptions'!$B$9+2*175</f>
        <v>38850</v>
      </c>
      <c r="Q25" s="9">
        <f>'Cluster Assumptions'!$B$7*('Cluster Assumptions'!$B$8+2*150)+'Cluster Assumptions'!$B$9+2*150</f>
        <v>38300</v>
      </c>
      <c r="R25" s="10">
        <f>'Cluster Assumptions'!$B$7*('Cluster Assumptions'!$B$8+190)+'Cluster Assumptions'!$B$9+190</f>
        <v>37090</v>
      </c>
    </row>
    <row r="26" spans="1:18" x14ac:dyDescent="0.25">
      <c r="A26" s="2" t="s">
        <v>48</v>
      </c>
      <c r="B26" s="2"/>
      <c r="C26" s="1">
        <v>700</v>
      </c>
      <c r="D26" s="1">
        <v>700</v>
      </c>
      <c r="E26" s="1">
        <v>700</v>
      </c>
      <c r="F26" s="1">
        <v>700</v>
      </c>
      <c r="G26" s="1">
        <v>700</v>
      </c>
      <c r="H26" s="1">
        <v>700</v>
      </c>
      <c r="I26" s="1">
        <v>700</v>
      </c>
      <c r="J26" s="1">
        <v>700</v>
      </c>
      <c r="K26" s="1">
        <v>700</v>
      </c>
      <c r="M26" t="s">
        <v>120</v>
      </c>
      <c r="N26">
        <f>N17+N25</f>
        <v>85160</v>
      </c>
      <c r="O26">
        <f>O17+O25</f>
        <v>78500</v>
      </c>
      <c r="P26">
        <f>P17+P25</f>
        <v>70458</v>
      </c>
      <c r="Q26">
        <f>Q17+Q25</f>
        <v>71900</v>
      </c>
      <c r="R26">
        <f>R17+R25</f>
        <v>79990</v>
      </c>
    </row>
    <row r="27" spans="1:18" x14ac:dyDescent="0.25">
      <c r="A27" s="2" t="s">
        <v>49</v>
      </c>
      <c r="B27" s="2"/>
      <c r="C27" s="1">
        <v>15000</v>
      </c>
      <c r="D27" s="1">
        <v>12000</v>
      </c>
      <c r="E27" s="1">
        <v>5000</v>
      </c>
      <c r="F27" s="1">
        <v>5000</v>
      </c>
      <c r="G27" s="1">
        <v>5000</v>
      </c>
      <c r="H27" s="1">
        <v>5000</v>
      </c>
      <c r="I27" s="1">
        <v>5000</v>
      </c>
      <c r="J27" s="1">
        <v>5000</v>
      </c>
      <c r="K27" s="1">
        <v>5000</v>
      </c>
    </row>
    <row r="28" spans="1:18" x14ac:dyDescent="0.25">
      <c r="A28" s="2" t="s">
        <v>50</v>
      </c>
      <c r="B28" s="2"/>
    </row>
    <row r="29" spans="1:18" x14ac:dyDescent="0.25">
      <c r="A29" t="s">
        <v>51</v>
      </c>
      <c r="C29" s="1">
        <f t="shared" ref="C29:K29" si="4">SUM(C12,C14,C18,C22)</f>
        <v>143493</v>
      </c>
      <c r="D29" s="1">
        <f t="shared" si="4"/>
        <v>135443</v>
      </c>
      <c r="E29" s="1">
        <f t="shared" si="4"/>
        <v>128443</v>
      </c>
      <c r="F29" s="1">
        <f t="shared" si="4"/>
        <v>128443</v>
      </c>
      <c r="G29" s="1">
        <f t="shared" si="4"/>
        <v>128443</v>
      </c>
      <c r="H29" s="1">
        <f t="shared" si="4"/>
        <v>128443</v>
      </c>
      <c r="I29" s="1">
        <f t="shared" si="4"/>
        <v>128443</v>
      </c>
      <c r="J29" s="1">
        <f t="shared" si="4"/>
        <v>128443</v>
      </c>
      <c r="K29" s="1">
        <f t="shared" si="4"/>
        <v>128443</v>
      </c>
    </row>
    <row r="30" spans="1:18" x14ac:dyDescent="0.25">
      <c r="A30" t="s">
        <v>52</v>
      </c>
      <c r="C30" s="1">
        <f t="shared" ref="C30:K30" si="5">C9-C29</f>
        <v>14007</v>
      </c>
      <c r="D30" s="1">
        <f t="shared" si="5"/>
        <v>57</v>
      </c>
      <c r="E30" s="1">
        <f t="shared" si="5"/>
        <v>68057</v>
      </c>
      <c r="F30" s="1">
        <f t="shared" si="5"/>
        <v>68057</v>
      </c>
      <c r="G30" s="1">
        <f t="shared" si="5"/>
        <v>68057</v>
      </c>
      <c r="H30" s="1">
        <f t="shared" si="5"/>
        <v>68057</v>
      </c>
      <c r="I30" s="1">
        <f t="shared" si="5"/>
        <v>68057</v>
      </c>
      <c r="J30" s="1">
        <f t="shared" si="5"/>
        <v>68057</v>
      </c>
      <c r="K30" s="1">
        <f t="shared" si="5"/>
        <v>68057</v>
      </c>
    </row>
    <row r="32" spans="1:18" x14ac:dyDescent="0.25">
      <c r="A32" t="s">
        <v>53</v>
      </c>
    </row>
    <row r="33" spans="1:11" x14ac:dyDescent="0.25">
      <c r="A33" t="s">
        <v>54</v>
      </c>
      <c r="C33" s="1">
        <v>-56250</v>
      </c>
      <c r="D33" s="1">
        <v>-42188</v>
      </c>
      <c r="E33" s="1">
        <v>-42188</v>
      </c>
      <c r="F33" s="1">
        <v>-42188</v>
      </c>
      <c r="G33" s="1">
        <v>-42188</v>
      </c>
      <c r="H33" s="1">
        <v>-42188</v>
      </c>
      <c r="I33" s="1">
        <v>-42188</v>
      </c>
      <c r="J33" s="1">
        <v>-42188</v>
      </c>
      <c r="K33" s="1">
        <v>-42188</v>
      </c>
    </row>
    <row r="34" spans="1:11" x14ac:dyDescent="0.25">
      <c r="A34" t="s">
        <v>55</v>
      </c>
      <c r="C34" s="1">
        <v>69200</v>
      </c>
      <c r="D34" s="1">
        <v>0</v>
      </c>
      <c r="E34" s="1">
        <v>75000</v>
      </c>
      <c r="F34" s="1">
        <v>75000</v>
      </c>
      <c r="G34" s="1">
        <v>75000</v>
      </c>
      <c r="H34" s="1">
        <v>75000</v>
      </c>
      <c r="I34" s="1">
        <v>75000</v>
      </c>
      <c r="J34" s="1">
        <v>75000</v>
      </c>
      <c r="K34" s="1">
        <v>75000</v>
      </c>
    </row>
    <row r="35" spans="1:11" x14ac:dyDescent="0.25">
      <c r="A35" t="s">
        <v>56</v>
      </c>
      <c r="C35" s="1">
        <v>-55620</v>
      </c>
      <c r="D35" s="1">
        <v>2500</v>
      </c>
      <c r="E35" s="1">
        <v>-65000</v>
      </c>
      <c r="F35" s="1">
        <v>-65000</v>
      </c>
      <c r="G35" s="1">
        <v>-65000</v>
      </c>
      <c r="H35" s="1">
        <v>-65000</v>
      </c>
      <c r="I35" s="1">
        <v>-65000</v>
      </c>
      <c r="J35" s="1">
        <v>-65000</v>
      </c>
      <c r="K35" s="1">
        <v>-65000</v>
      </c>
    </row>
    <row r="36" spans="1:11" x14ac:dyDescent="0.25">
      <c r="A36" t="s">
        <v>57</v>
      </c>
      <c r="C36" s="1">
        <v>180000</v>
      </c>
      <c r="E36" s="1"/>
      <c r="F36" s="1"/>
      <c r="G36" s="1"/>
      <c r="H36" s="1"/>
      <c r="I36" s="1"/>
      <c r="J36" s="1"/>
      <c r="K36" s="1"/>
    </row>
    <row r="37" spans="1:11" x14ac:dyDescent="0.25">
      <c r="A37" t="s">
        <v>58</v>
      </c>
      <c r="C37" s="1">
        <v>-180000</v>
      </c>
      <c r="E37" s="1"/>
      <c r="F37" s="1"/>
      <c r="G37" s="1"/>
      <c r="H37" s="1"/>
      <c r="I37" s="1"/>
      <c r="J37" s="1"/>
      <c r="K37" s="1"/>
    </row>
    <row r="38" spans="1:11" x14ac:dyDescent="0.25">
      <c r="A38" t="s">
        <v>69</v>
      </c>
      <c r="E38" s="1">
        <f>'Revenue Assumptions'!$I$11</f>
        <v>10000</v>
      </c>
      <c r="F38" s="1">
        <f>'Revenue Assumptions'!$I$11</f>
        <v>10000</v>
      </c>
      <c r="G38" s="1">
        <f>'Revenue Assumptions'!$I$11</f>
        <v>10000</v>
      </c>
      <c r="H38" s="1">
        <f>'Revenue Assumptions'!$I$11</f>
        <v>10000</v>
      </c>
      <c r="I38" s="1">
        <f>'Revenue Assumptions'!$I$11</f>
        <v>10000</v>
      </c>
      <c r="J38" s="1">
        <f>'Revenue Assumptions'!$I$11</f>
        <v>10000</v>
      </c>
      <c r="K38" s="1">
        <f>'Revenue Assumptions'!$I$11</f>
        <v>10000</v>
      </c>
    </row>
    <row r="39" spans="1:11" x14ac:dyDescent="0.25">
      <c r="A39" t="s">
        <v>59</v>
      </c>
      <c r="E39" s="1">
        <f>-HLOOKUP($B$1,'Budget Forecast'!$N$7:$R$26,14,FALSE)</f>
        <v>-99733</v>
      </c>
      <c r="F39" s="1">
        <f>-HLOOKUP($B$1,'Budget Forecast'!$N$7:$R$26,11,FALSE)</f>
        <v>-31608</v>
      </c>
      <c r="G39" s="1">
        <f>-HLOOKUP($B$1,'Budget Forecast'!$N$7:$R$26,17,FALSE)</f>
        <v>-60108</v>
      </c>
      <c r="H39" s="1">
        <f>-HLOOKUP($B$1,'Budget Forecast'!$N$7:$R$26,11,FALSE)</f>
        <v>-31608</v>
      </c>
      <c r="I39" s="1">
        <f>-HLOOKUP($B$1,'Budget Forecast'!$N$7:$R$26,17,FALSE)</f>
        <v>-60108</v>
      </c>
      <c r="J39" s="1">
        <f>-HLOOKUP($B$1,'Budget Forecast'!$N$7:$R$26,11,FALSE)</f>
        <v>-31608</v>
      </c>
      <c r="K39" s="1">
        <f>-HLOOKUP($B$1,'Budget Forecast'!$N$7:$R$26,20,FALSE)</f>
        <v>-70458</v>
      </c>
    </row>
    <row r="40" spans="1:11" x14ac:dyDescent="0.25">
      <c r="A40" t="s">
        <v>60</v>
      </c>
      <c r="E40" s="1"/>
      <c r="F40" s="1"/>
      <c r="G40" s="1"/>
      <c r="H40" s="1"/>
      <c r="I40" s="1"/>
      <c r="J40" s="1"/>
      <c r="K40" s="1"/>
    </row>
    <row r="41" spans="1:11" x14ac:dyDescent="0.25">
      <c r="A41" t="s">
        <v>61</v>
      </c>
      <c r="C41" s="1">
        <f t="shared" ref="C41:K41" si="6">SUM(C33:C40)</f>
        <v>-42670</v>
      </c>
      <c r="D41" s="1">
        <f t="shared" si="6"/>
        <v>-39688</v>
      </c>
      <c r="E41" s="1">
        <f t="shared" si="6"/>
        <v>-121921</v>
      </c>
      <c r="F41" s="1">
        <f t="shared" si="6"/>
        <v>-53796</v>
      </c>
      <c r="G41" s="1">
        <f t="shared" si="6"/>
        <v>-82296</v>
      </c>
      <c r="H41" s="1">
        <f t="shared" si="6"/>
        <v>-53796</v>
      </c>
      <c r="I41" s="1">
        <f t="shared" si="6"/>
        <v>-82296</v>
      </c>
      <c r="J41" s="1">
        <f t="shared" si="6"/>
        <v>-53796</v>
      </c>
      <c r="K41" s="1">
        <f t="shared" si="6"/>
        <v>-92646</v>
      </c>
    </row>
    <row r="42" spans="1:11" x14ac:dyDescent="0.25">
      <c r="A42" t="s">
        <v>62</v>
      </c>
      <c r="C42" s="1">
        <f t="shared" ref="C42:K42" si="7">C30+C41</f>
        <v>-28663</v>
      </c>
      <c r="D42" s="1">
        <f t="shared" si="7"/>
        <v>-39631</v>
      </c>
      <c r="E42" s="1">
        <f t="shared" si="7"/>
        <v>-53864</v>
      </c>
      <c r="F42" s="1">
        <f t="shared" si="7"/>
        <v>14261</v>
      </c>
      <c r="G42" s="1">
        <f t="shared" si="7"/>
        <v>-14239</v>
      </c>
      <c r="H42" s="1">
        <f t="shared" si="7"/>
        <v>14261</v>
      </c>
      <c r="I42" s="1">
        <f t="shared" si="7"/>
        <v>-14239</v>
      </c>
      <c r="J42" s="1">
        <f t="shared" si="7"/>
        <v>14261</v>
      </c>
      <c r="K42" s="1">
        <f t="shared" si="7"/>
        <v>-24589</v>
      </c>
    </row>
    <row r="43" spans="1:11" x14ac:dyDescent="0.25">
      <c r="A43" t="s">
        <v>63</v>
      </c>
      <c r="C43" s="1">
        <v>274938</v>
      </c>
      <c r="D43" s="1">
        <f t="shared" ref="D43:K43" si="8">C44</f>
        <v>246275</v>
      </c>
      <c r="E43" s="1">
        <f t="shared" si="8"/>
        <v>206644</v>
      </c>
      <c r="F43" s="1">
        <f t="shared" si="8"/>
        <v>152780</v>
      </c>
      <c r="G43" s="1">
        <f t="shared" si="8"/>
        <v>167041</v>
      </c>
      <c r="H43" s="1">
        <f t="shared" si="8"/>
        <v>152802</v>
      </c>
      <c r="I43" s="1">
        <f t="shared" si="8"/>
        <v>167063</v>
      </c>
      <c r="J43" s="1">
        <f t="shared" si="8"/>
        <v>152824</v>
      </c>
      <c r="K43" s="1">
        <f t="shared" si="8"/>
        <v>167085</v>
      </c>
    </row>
    <row r="44" spans="1:11" x14ac:dyDescent="0.25">
      <c r="A44" t="s">
        <v>64</v>
      </c>
      <c r="C44" s="1">
        <f>C43+C42</f>
        <v>246275</v>
      </c>
      <c r="D44" s="1">
        <f t="shared" ref="D44:K44" si="9">D42+D43</f>
        <v>206644</v>
      </c>
      <c r="E44" s="1">
        <f t="shared" si="9"/>
        <v>152780</v>
      </c>
      <c r="F44" s="1">
        <f t="shared" si="9"/>
        <v>167041</v>
      </c>
      <c r="G44" s="1">
        <f t="shared" si="9"/>
        <v>152802</v>
      </c>
      <c r="H44" s="1">
        <f t="shared" si="9"/>
        <v>167063</v>
      </c>
      <c r="I44" s="1">
        <f t="shared" si="9"/>
        <v>152824</v>
      </c>
      <c r="J44" s="1">
        <f t="shared" si="9"/>
        <v>167085</v>
      </c>
      <c r="K44" s="1">
        <f t="shared" si="9"/>
        <v>142496</v>
      </c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</row>
  </sheetData>
  <dataValidations count="1">
    <dataValidation type="list" allowBlank="1" showInputMessage="1" showErrorMessage="1" sqref="B1" xr:uid="{BD0A3F99-2B0E-4ED3-AEC2-5AFFC4EDBA16}">
      <formula1>$N$7:$R$7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97C7A5-B5FF-4783-A286-DC9F03887753}">
          <x14:formula1>
            <xm:f>'Cluster Assumptions'!$B$15:$E$15</xm:f>
          </x14:formula1>
          <xm:sqref>B2</xm:sqref>
        </x14:dataValidation>
        <x14:dataValidation type="list" allowBlank="1" showInputMessage="1" showErrorMessage="1" xr:uid="{805E417F-2AA6-482E-86FA-1E66C0A332E6}">
          <x14:formula1>
            <xm:f>'Revenue Assumptions'!$A$19:$D$19</xm:f>
          </x14:formula1>
          <xm:sqref>B3:B4</xm:sqref>
        </x14:dataValidation>
        <x14:dataValidation type="list" allowBlank="1" showInputMessage="1" showErrorMessage="1" xr:uid="{55C414EB-EC01-4F60-9AB2-49EA766D5B7C}">
          <x14:formula1>
            <xm:f>'Revenue Assumptions'!$F$19:$I$19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5366-6A8F-4955-A9C2-6DB1137B4D51}">
  <sheetPr codeName="Sheet3"/>
  <dimension ref="A1:E19"/>
  <sheetViews>
    <sheetView workbookViewId="0">
      <selection activeCell="B18" sqref="B18"/>
    </sheetView>
  </sheetViews>
  <sheetFormatPr defaultRowHeight="15" x14ac:dyDescent="0.25"/>
  <cols>
    <col min="1" max="1" width="57.5703125" customWidth="1"/>
    <col min="3" max="3" width="10.7109375" customWidth="1"/>
    <col min="4" max="4" width="12" customWidth="1"/>
  </cols>
  <sheetData>
    <row r="1" spans="1:5" x14ac:dyDescent="0.25">
      <c r="A1" t="s">
        <v>83</v>
      </c>
    </row>
    <row r="2" spans="1:5" x14ac:dyDescent="0.25">
      <c r="A2" t="s">
        <v>84</v>
      </c>
    </row>
    <row r="3" spans="1:5" x14ac:dyDescent="0.25">
      <c r="A3" t="s">
        <v>85</v>
      </c>
    </row>
    <row r="4" spans="1:5" x14ac:dyDescent="0.25">
      <c r="A4" t="s">
        <v>87</v>
      </c>
    </row>
    <row r="5" spans="1:5" x14ac:dyDescent="0.25">
      <c r="A5" t="s">
        <v>86</v>
      </c>
    </row>
    <row r="6" spans="1:5" x14ac:dyDescent="0.25">
      <c r="A6" t="s">
        <v>0</v>
      </c>
      <c r="B6">
        <v>20</v>
      </c>
    </row>
    <row r="7" spans="1:5" x14ac:dyDescent="0.25">
      <c r="A7" t="s">
        <v>1</v>
      </c>
      <c r="B7">
        <v>10</v>
      </c>
    </row>
    <row r="8" spans="1:5" x14ac:dyDescent="0.25">
      <c r="A8" t="s">
        <v>2</v>
      </c>
      <c r="B8">
        <v>2500</v>
      </c>
    </row>
    <row r="9" spans="1:5" x14ac:dyDescent="0.25">
      <c r="A9" t="s">
        <v>3</v>
      </c>
      <c r="B9">
        <v>10000</v>
      </c>
    </row>
    <row r="12" spans="1:5" x14ac:dyDescent="0.25">
      <c r="A12" t="s">
        <v>88</v>
      </c>
    </row>
    <row r="13" spans="1:5" x14ac:dyDescent="0.25">
      <c r="A13" t="s">
        <v>89</v>
      </c>
    </row>
    <row r="14" spans="1:5" x14ac:dyDescent="0.25">
      <c r="A14" t="s">
        <v>90</v>
      </c>
    </row>
    <row r="15" spans="1:5" ht="15.75" thickBot="1" x14ac:dyDescent="0.3">
      <c r="B15" s="5" t="s">
        <v>92</v>
      </c>
      <c r="C15" s="5" t="s">
        <v>93</v>
      </c>
      <c r="D15" s="5" t="s">
        <v>98</v>
      </c>
      <c r="E15" s="17" t="s">
        <v>94</v>
      </c>
    </row>
    <row r="16" spans="1:5" x14ac:dyDescent="0.25">
      <c r="A16" t="s">
        <v>23</v>
      </c>
      <c r="B16" s="15">
        <v>1</v>
      </c>
      <c r="C16" s="15">
        <v>4</v>
      </c>
      <c r="D16" s="15">
        <v>8</v>
      </c>
      <c r="E16" s="18">
        <v>10</v>
      </c>
    </row>
    <row r="17" spans="1:5" x14ac:dyDescent="0.25">
      <c r="A17" t="s">
        <v>24</v>
      </c>
      <c r="B17" s="15">
        <v>5</v>
      </c>
      <c r="C17" s="15">
        <v>10</v>
      </c>
      <c r="D17" s="15">
        <v>20</v>
      </c>
      <c r="E17" s="19">
        <v>40</v>
      </c>
    </row>
    <row r="18" spans="1:5" x14ac:dyDescent="0.25">
      <c r="A18" t="s">
        <v>25</v>
      </c>
      <c r="B18" s="15">
        <v>800</v>
      </c>
      <c r="C18" s="15">
        <v>800</v>
      </c>
      <c r="D18" s="15">
        <v>1600</v>
      </c>
      <c r="E18" s="19">
        <v>3200</v>
      </c>
    </row>
    <row r="19" spans="1:5" x14ac:dyDescent="0.25">
      <c r="A19" t="s">
        <v>97</v>
      </c>
      <c r="B19" s="16">
        <v>0</v>
      </c>
      <c r="C19" s="16">
        <v>750</v>
      </c>
      <c r="D19" s="16">
        <v>750</v>
      </c>
      <c r="E19" s="20">
        <v>750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1D21-560F-49A9-A1B0-62F60C2BF355}">
  <sheetPr codeName="Sheet4"/>
  <dimension ref="A1:I28"/>
  <sheetViews>
    <sheetView workbookViewId="0">
      <selection activeCell="F1" sqref="F1:I1"/>
    </sheetView>
  </sheetViews>
  <sheetFormatPr defaultRowHeight="15" x14ac:dyDescent="0.25"/>
  <cols>
    <col min="1" max="1" width="22.7109375" customWidth="1"/>
    <col min="2" max="2" width="16" customWidth="1"/>
    <col min="3" max="3" width="11" customWidth="1"/>
    <col min="4" max="4" width="16.7109375" customWidth="1"/>
    <col min="6" max="6" width="28.7109375" customWidth="1"/>
    <col min="7" max="8" width="11" customWidth="1"/>
    <col min="9" max="9" width="12.42578125" customWidth="1"/>
  </cols>
  <sheetData>
    <row r="1" spans="1:9" x14ac:dyDescent="0.25">
      <c r="A1" s="22" t="s">
        <v>91</v>
      </c>
      <c r="B1" s="23"/>
      <c r="C1" s="23"/>
      <c r="D1" s="24"/>
      <c r="F1" s="22" t="s">
        <v>69</v>
      </c>
      <c r="G1" s="23"/>
      <c r="H1" s="23"/>
      <c r="I1" s="24"/>
    </row>
    <row r="2" spans="1:9" x14ac:dyDescent="0.25">
      <c r="A2" s="8" t="s">
        <v>27</v>
      </c>
      <c r="B2" s="9">
        <f>HLOOKUP('Budget Forecast'!$B$3,$A$19:$D$25,2,FALSE)</f>
        <v>11</v>
      </c>
      <c r="C2" s="9">
        <f>HLOOKUP('Budget Forecast'!$B$4,$A$19:$D$25,5,FALSE)</f>
        <v>12500</v>
      </c>
      <c r="D2" s="10">
        <f>B2*C2</f>
        <v>137500</v>
      </c>
      <c r="F2" s="8" t="s">
        <v>70</v>
      </c>
      <c r="G2" s="9">
        <f>HLOOKUP('Budget Forecast'!$B$5,'Revenue Assumptions'!$F$19:$I$28,2,FALSE)</f>
        <v>1</v>
      </c>
      <c r="H2" s="9">
        <v>2500</v>
      </c>
      <c r="I2" s="10">
        <f>G2*H2</f>
        <v>2500</v>
      </c>
    </row>
    <row r="3" spans="1:9" x14ac:dyDescent="0.25">
      <c r="A3" s="8" t="s">
        <v>28</v>
      </c>
      <c r="B3" s="9">
        <f>HLOOKUP('Budget Forecast'!$B$3,$A$19:$D$25,3,FALSE)</f>
        <v>6</v>
      </c>
      <c r="C3" s="9">
        <f>HLOOKUP('Budget Forecast'!$B$4,$A$19:$D$25,6,FALSE)</f>
        <v>7500</v>
      </c>
      <c r="D3" s="10">
        <f>B3*C3</f>
        <v>45000</v>
      </c>
      <c r="F3" s="8" t="s">
        <v>78</v>
      </c>
      <c r="G3" s="9">
        <f>HLOOKUP('Budget Forecast'!$B$5,'Revenue Assumptions'!$F$19:$I$28,3,FALSE)</f>
        <v>0</v>
      </c>
      <c r="H3" s="9">
        <v>5000</v>
      </c>
      <c r="I3" s="10">
        <f>G3*H3</f>
        <v>0</v>
      </c>
    </row>
    <row r="4" spans="1:9" x14ac:dyDescent="0.25">
      <c r="A4" s="8" t="s">
        <v>29</v>
      </c>
      <c r="B4" s="9">
        <f>HLOOKUP('Budget Forecast'!$B$3,$A$19:$D$25,4,FALSE)</f>
        <v>4</v>
      </c>
      <c r="C4" s="9">
        <f>HLOOKUP('Budget Forecast'!$B$4,$A$19:$D$25,7,FALSE)</f>
        <v>3500</v>
      </c>
      <c r="D4" s="10">
        <f>B4*C4</f>
        <v>14000</v>
      </c>
      <c r="F4" s="8" t="s">
        <v>71</v>
      </c>
      <c r="G4" s="9">
        <f>HLOOKUP('Budget Forecast'!$B$5,'Revenue Assumptions'!$F$19:$I$28,4,FALSE)</f>
        <v>2</v>
      </c>
      <c r="H4" s="9">
        <v>2500</v>
      </c>
      <c r="I4" s="10">
        <f>G4*H4</f>
        <v>5000</v>
      </c>
    </row>
    <row r="5" spans="1:9" x14ac:dyDescent="0.25">
      <c r="A5" s="8" t="s">
        <v>26</v>
      </c>
      <c r="B5" s="9">
        <v>4</v>
      </c>
      <c r="C5" s="9">
        <v>0</v>
      </c>
      <c r="D5" s="10">
        <f>B5*C5</f>
        <v>0</v>
      </c>
      <c r="F5" s="8" t="s">
        <v>77</v>
      </c>
      <c r="G5" s="9">
        <f>HLOOKUP('Budget Forecast'!$B$5,'Revenue Assumptions'!$F$19:$I$28,5,FALSE)</f>
        <v>0</v>
      </c>
      <c r="H5" s="9">
        <v>10000</v>
      </c>
      <c r="I5" s="10">
        <f>G5*H5</f>
        <v>0</v>
      </c>
    </row>
    <row r="6" spans="1:9" x14ac:dyDescent="0.25">
      <c r="A6" s="11" t="s">
        <v>112</v>
      </c>
      <c r="B6" s="12"/>
      <c r="C6" s="12"/>
      <c r="D6" s="13">
        <f>SUM(D2:D5)</f>
        <v>196500</v>
      </c>
      <c r="F6" s="8" t="s">
        <v>72</v>
      </c>
      <c r="G6" s="9">
        <f>HLOOKUP('Budget Forecast'!$B$5,'Revenue Assumptions'!$F$19:$I$28,6,FALSE)</f>
        <v>1</v>
      </c>
      <c r="H6" s="9">
        <v>2500</v>
      </c>
      <c r="I6" s="10">
        <f>G6*H6</f>
        <v>2500</v>
      </c>
    </row>
    <row r="7" spans="1:9" x14ac:dyDescent="0.25">
      <c r="F7" s="8" t="s">
        <v>76</v>
      </c>
      <c r="G7" s="9">
        <f>HLOOKUP('Budget Forecast'!$B$5,'Revenue Assumptions'!$F$19:$I$28,7,FALSE)</f>
        <v>0</v>
      </c>
      <c r="H7" s="9">
        <v>10000</v>
      </c>
      <c r="I7" s="10">
        <f>G7*H7</f>
        <v>0</v>
      </c>
    </row>
    <row r="8" spans="1:9" x14ac:dyDescent="0.25">
      <c r="F8" s="8" t="s">
        <v>73</v>
      </c>
      <c r="G8" s="9">
        <f>HLOOKUP('Budget Forecast'!$B$5,'Revenue Assumptions'!$F$19:$I$28,8,FALSE)</f>
        <v>0</v>
      </c>
      <c r="H8" s="9">
        <v>2500</v>
      </c>
      <c r="I8" s="10">
        <f>G8*H8</f>
        <v>0</v>
      </c>
    </row>
    <row r="9" spans="1:9" x14ac:dyDescent="0.25">
      <c r="F9" s="8" t="s">
        <v>75</v>
      </c>
      <c r="G9" s="9">
        <f>HLOOKUP('Budget Forecast'!$B$5,'Revenue Assumptions'!$F$19:$I$28,9,FALSE)</f>
        <v>0</v>
      </c>
      <c r="H9" s="9">
        <v>10000</v>
      </c>
      <c r="I9" s="10">
        <f>G9*H9</f>
        <v>0</v>
      </c>
    </row>
    <row r="10" spans="1:9" x14ac:dyDescent="0.25">
      <c r="F10" s="8" t="s">
        <v>74</v>
      </c>
      <c r="G10" s="9">
        <f>HLOOKUP('Budget Forecast'!$B$5,'Revenue Assumptions'!$F$19:$I$28,10,FALSE)</f>
        <v>0</v>
      </c>
      <c r="H10" s="9">
        <v>2500</v>
      </c>
      <c r="I10" s="10">
        <f>G10*H10</f>
        <v>0</v>
      </c>
    </row>
    <row r="11" spans="1:9" x14ac:dyDescent="0.25">
      <c r="F11" s="11" t="s">
        <v>111</v>
      </c>
      <c r="G11" s="12"/>
      <c r="H11" s="12"/>
      <c r="I11" s="13">
        <f>SUM(I2:I10)</f>
        <v>10000</v>
      </c>
    </row>
    <row r="18" spans="1:9" x14ac:dyDescent="0.25">
      <c r="A18" t="s">
        <v>110</v>
      </c>
      <c r="F18" t="s">
        <v>109</v>
      </c>
    </row>
    <row r="19" spans="1:9" x14ac:dyDescent="0.25">
      <c r="A19" s="5" t="s">
        <v>104</v>
      </c>
      <c r="B19" s="6" t="s">
        <v>101</v>
      </c>
      <c r="C19" s="6" t="s">
        <v>102</v>
      </c>
      <c r="D19" s="7" t="s">
        <v>103</v>
      </c>
      <c r="F19" s="5" t="s">
        <v>105</v>
      </c>
      <c r="G19" s="6" t="s">
        <v>106</v>
      </c>
      <c r="H19" s="6" t="s">
        <v>107</v>
      </c>
      <c r="I19" s="7" t="s">
        <v>108</v>
      </c>
    </row>
    <row r="20" spans="1:9" x14ac:dyDescent="0.25">
      <c r="A20" s="8">
        <v>13</v>
      </c>
      <c r="B20" s="9">
        <v>11</v>
      </c>
      <c r="C20" s="9">
        <v>9</v>
      </c>
      <c r="D20" s="10">
        <v>8</v>
      </c>
      <c r="F20" s="8">
        <v>0</v>
      </c>
      <c r="G20" s="9">
        <v>1</v>
      </c>
      <c r="H20" s="9">
        <v>0</v>
      </c>
      <c r="I20" s="10">
        <v>0</v>
      </c>
    </row>
    <row r="21" spans="1:9" x14ac:dyDescent="0.25">
      <c r="A21" s="8">
        <v>6</v>
      </c>
      <c r="B21" s="9">
        <v>6</v>
      </c>
      <c r="C21" s="9">
        <v>4</v>
      </c>
      <c r="D21" s="10">
        <v>3</v>
      </c>
      <c r="F21" s="8">
        <v>0</v>
      </c>
      <c r="G21" s="9">
        <v>0</v>
      </c>
      <c r="H21" s="9">
        <v>1</v>
      </c>
      <c r="I21" s="10">
        <v>2</v>
      </c>
    </row>
    <row r="22" spans="1:9" x14ac:dyDescent="0.25">
      <c r="A22" s="8">
        <v>4</v>
      </c>
      <c r="B22" s="9">
        <v>4</v>
      </c>
      <c r="C22" s="9">
        <v>4</v>
      </c>
      <c r="D22" s="10">
        <v>4</v>
      </c>
      <c r="F22" s="8">
        <v>0</v>
      </c>
      <c r="G22" s="9">
        <v>2</v>
      </c>
      <c r="H22" s="9">
        <v>3</v>
      </c>
      <c r="I22" s="10">
        <v>2</v>
      </c>
    </row>
    <row r="23" spans="1:9" x14ac:dyDescent="0.25">
      <c r="A23" s="8">
        <v>15000</v>
      </c>
      <c r="B23" s="9">
        <v>12500</v>
      </c>
      <c r="C23" s="9">
        <v>10000</v>
      </c>
      <c r="D23" s="10">
        <v>9000</v>
      </c>
      <c r="F23" s="8">
        <v>0</v>
      </c>
      <c r="G23" s="9">
        <v>0</v>
      </c>
      <c r="H23" s="9">
        <v>0</v>
      </c>
      <c r="I23" s="10">
        <v>1</v>
      </c>
    </row>
    <row r="24" spans="1:9" x14ac:dyDescent="0.25">
      <c r="A24" s="8">
        <v>10000</v>
      </c>
      <c r="B24" s="9">
        <v>7500</v>
      </c>
      <c r="C24" s="9">
        <v>5000</v>
      </c>
      <c r="D24" s="10">
        <v>4000</v>
      </c>
      <c r="F24" s="8">
        <v>0</v>
      </c>
      <c r="G24" s="9">
        <v>1</v>
      </c>
      <c r="H24" s="9">
        <v>3</v>
      </c>
      <c r="I24" s="10">
        <v>2</v>
      </c>
    </row>
    <row r="25" spans="1:9" x14ac:dyDescent="0.25">
      <c r="A25" s="11">
        <v>5000</v>
      </c>
      <c r="B25" s="12">
        <v>3500</v>
      </c>
      <c r="C25" s="12">
        <v>3500</v>
      </c>
      <c r="D25" s="13">
        <v>2500</v>
      </c>
      <c r="F25" s="8">
        <v>0</v>
      </c>
      <c r="G25" s="9">
        <v>0</v>
      </c>
      <c r="H25" s="9">
        <v>0</v>
      </c>
      <c r="I25" s="10">
        <v>1</v>
      </c>
    </row>
    <row r="26" spans="1:9" x14ac:dyDescent="0.25">
      <c r="F26" s="8">
        <v>0</v>
      </c>
      <c r="G26" s="9">
        <v>0</v>
      </c>
      <c r="H26" s="9">
        <v>1</v>
      </c>
      <c r="I26" s="10">
        <v>0</v>
      </c>
    </row>
    <row r="27" spans="1:9" x14ac:dyDescent="0.25">
      <c r="F27" s="8">
        <v>0</v>
      </c>
      <c r="G27" s="9">
        <v>0</v>
      </c>
      <c r="H27" s="9">
        <v>0</v>
      </c>
      <c r="I27" s="10">
        <v>1</v>
      </c>
    </row>
    <row r="28" spans="1:9" x14ac:dyDescent="0.25">
      <c r="F28" s="11">
        <v>0</v>
      </c>
      <c r="G28" s="12">
        <v>0</v>
      </c>
      <c r="H28" s="12">
        <v>0</v>
      </c>
      <c r="I28" s="13">
        <v>1</v>
      </c>
    </row>
  </sheetData>
  <mergeCells count="2">
    <mergeCell ref="A1:D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Forecast</vt:lpstr>
      <vt:lpstr>Cluster Assumptions</vt:lpstr>
      <vt:lpstr>Revenue Assumptions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Ledford</dc:creator>
  <cp:lastModifiedBy>Doug Ledford</cp:lastModifiedBy>
  <dcterms:created xsi:type="dcterms:W3CDTF">2020-05-04T14:58:41Z</dcterms:created>
  <dcterms:modified xsi:type="dcterms:W3CDTF">2020-05-06T21:54:24Z</dcterms:modified>
</cp:coreProperties>
</file>